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420" windowHeight="5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O37" i="1" l="1"/>
  <c r="O33" i="1"/>
  <c r="G24" i="1" l="1"/>
  <c r="K37" i="1"/>
  <c r="G37" i="1"/>
  <c r="G33" i="1"/>
  <c r="C37" i="1"/>
  <c r="C33" i="1"/>
  <c r="O24" i="1"/>
  <c r="O20" i="1"/>
  <c r="K24" i="1"/>
  <c r="K20" i="1"/>
  <c r="G20" i="1"/>
  <c r="C24" i="1"/>
  <c r="C20" i="1"/>
  <c r="O11" i="1"/>
  <c r="O7" i="1"/>
  <c r="K11" i="1"/>
  <c r="K7" i="1"/>
  <c r="G11" i="1"/>
  <c r="G7" i="1"/>
  <c r="C11" i="1"/>
  <c r="C7" i="1"/>
  <c r="N37" i="1" l="1"/>
  <c r="N33" i="1"/>
  <c r="J37" i="1"/>
  <c r="J33" i="1"/>
  <c r="F37" i="1"/>
  <c r="F33" i="1"/>
  <c r="B37" i="1"/>
  <c r="B33" i="1"/>
  <c r="N24" i="1"/>
  <c r="N20" i="1"/>
  <c r="J24" i="1"/>
  <c r="J20" i="1"/>
  <c r="F24" i="1"/>
  <c r="F20" i="1"/>
  <c r="B24" i="1"/>
  <c r="B20" i="1"/>
  <c r="N11" i="1"/>
  <c r="N7" i="1"/>
  <c r="J11" i="1"/>
  <c r="J7" i="1"/>
  <c r="F11" i="1"/>
  <c r="F7" i="1"/>
  <c r="B11" i="1"/>
  <c r="B7" i="1"/>
  <c r="K41" i="1" l="1"/>
  <c r="C28" i="1" l="1"/>
  <c r="B46" i="1"/>
  <c r="B47" i="1"/>
  <c r="B48" i="1"/>
  <c r="B49" i="1"/>
  <c r="B50" i="1"/>
  <c r="B51" i="1"/>
  <c r="B52" i="1"/>
  <c r="C46" i="1"/>
  <c r="C47" i="1"/>
  <c r="C48" i="1"/>
  <c r="C49" i="1"/>
  <c r="C50" i="1"/>
  <c r="C51" i="1"/>
  <c r="C52" i="1"/>
  <c r="D52" i="1" l="1"/>
  <c r="E52" i="1" s="1"/>
  <c r="D48" i="1"/>
  <c r="E48" i="1" s="1"/>
  <c r="D51" i="1"/>
  <c r="E51" i="1" s="1"/>
  <c r="D50" i="1"/>
  <c r="E50" i="1" s="1"/>
  <c r="D46" i="1"/>
  <c r="E46" i="1" s="1"/>
  <c r="D49" i="1"/>
  <c r="E49" i="1" s="1"/>
  <c r="D47" i="1"/>
  <c r="E47" i="1" s="1"/>
  <c r="O41" i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N41" i="1"/>
  <c r="J41" i="1"/>
  <c r="F41" i="1"/>
  <c r="B41" i="1"/>
  <c r="N28" i="1"/>
  <c r="J28" i="1"/>
  <c r="F28" i="1"/>
  <c r="B28" i="1"/>
  <c r="N15" i="1"/>
  <c r="J15" i="1"/>
  <c r="F15" i="1"/>
  <c r="B15" i="1"/>
  <c r="G41" i="1"/>
  <c r="C41" i="1"/>
  <c r="O28" i="1"/>
  <c r="K28" i="1"/>
  <c r="G28" i="1"/>
  <c r="O15" i="1"/>
  <c r="K15" i="1"/>
  <c r="G15" i="1"/>
  <c r="C15" i="1"/>
  <c r="F12" i="2"/>
  <c r="F27" i="2" s="1"/>
  <c r="F25" i="2"/>
  <c r="F24" i="2"/>
  <c r="F23" i="2"/>
  <c r="F22" i="2"/>
  <c r="F21" i="2"/>
  <c r="F20" i="2"/>
  <c r="F19" i="2"/>
  <c r="F18" i="2"/>
  <c r="F17" i="2"/>
  <c r="F16" i="2"/>
  <c r="P37" i="1"/>
  <c r="Q37" i="1" s="1"/>
  <c r="L37" i="1"/>
  <c r="M37" i="1" s="1"/>
  <c r="H37" i="1"/>
  <c r="I37" i="1" s="1"/>
  <c r="D37" i="1"/>
  <c r="E37" i="1" s="1"/>
  <c r="P24" i="1"/>
  <c r="H24" i="1"/>
  <c r="I24" i="1" s="1"/>
  <c r="D24" i="1"/>
  <c r="E24" i="1" s="1"/>
  <c r="L24" i="1"/>
  <c r="M24" i="1" s="1"/>
  <c r="P11" i="1"/>
  <c r="Q11" i="1" s="1"/>
  <c r="L11" i="1"/>
  <c r="M11" i="1" s="1"/>
  <c r="H11" i="1"/>
  <c r="I11" i="1" s="1"/>
  <c r="P39" i="1"/>
  <c r="Q39" i="1" s="1"/>
  <c r="L39" i="1"/>
  <c r="M39" i="1" s="1"/>
  <c r="H39" i="1"/>
  <c r="I39" i="1" s="1"/>
  <c r="D39" i="1"/>
  <c r="E39" i="1" s="1"/>
  <c r="P38" i="1"/>
  <c r="Q38" i="1" s="1"/>
  <c r="L38" i="1"/>
  <c r="M38" i="1" s="1"/>
  <c r="H38" i="1"/>
  <c r="I38" i="1" s="1"/>
  <c r="D38" i="1"/>
  <c r="E38" i="1" s="1"/>
  <c r="P36" i="1"/>
  <c r="Q36" i="1" s="1"/>
  <c r="L36" i="1"/>
  <c r="M36" i="1" s="1"/>
  <c r="H36" i="1"/>
  <c r="I36" i="1" s="1"/>
  <c r="D36" i="1"/>
  <c r="E36" i="1" s="1"/>
  <c r="P35" i="1"/>
  <c r="Q35" i="1" s="1"/>
  <c r="L35" i="1"/>
  <c r="M35" i="1" s="1"/>
  <c r="H35" i="1"/>
  <c r="I35" i="1" s="1"/>
  <c r="D35" i="1"/>
  <c r="E35" i="1" s="1"/>
  <c r="P34" i="1"/>
  <c r="Q34" i="1" s="1"/>
  <c r="L34" i="1"/>
  <c r="M34" i="1" s="1"/>
  <c r="H34" i="1"/>
  <c r="I34" i="1" s="1"/>
  <c r="D34" i="1"/>
  <c r="E34" i="1" s="1"/>
  <c r="P33" i="1"/>
  <c r="Q33" i="1" s="1"/>
  <c r="L33" i="1"/>
  <c r="M33" i="1" s="1"/>
  <c r="H33" i="1"/>
  <c r="I33" i="1" s="1"/>
  <c r="D33" i="1"/>
  <c r="E33" i="1" s="1"/>
  <c r="P26" i="1"/>
  <c r="Q26" i="1" s="1"/>
  <c r="L26" i="1"/>
  <c r="M26" i="1" s="1"/>
  <c r="H26" i="1"/>
  <c r="I26" i="1" s="1"/>
  <c r="D26" i="1"/>
  <c r="E26" i="1" s="1"/>
  <c r="P25" i="1"/>
  <c r="Q25" i="1" s="1"/>
  <c r="L25" i="1"/>
  <c r="M25" i="1" s="1"/>
  <c r="H25" i="1"/>
  <c r="I25" i="1" s="1"/>
  <c r="D25" i="1"/>
  <c r="E25" i="1" s="1"/>
  <c r="P23" i="1"/>
  <c r="Q23" i="1" s="1"/>
  <c r="L23" i="1"/>
  <c r="M23" i="1" s="1"/>
  <c r="H23" i="1"/>
  <c r="I23" i="1" s="1"/>
  <c r="D23" i="1"/>
  <c r="E23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3" i="1"/>
  <c r="Q13" i="1" s="1"/>
  <c r="L13" i="1"/>
  <c r="M13" i="1" s="1"/>
  <c r="H13" i="1"/>
  <c r="I13" i="1" s="1"/>
  <c r="P12" i="1"/>
  <c r="Q12" i="1" s="1"/>
  <c r="L12" i="1"/>
  <c r="M12" i="1" s="1"/>
  <c r="H12" i="1"/>
  <c r="I12" i="1" s="1"/>
  <c r="P10" i="1"/>
  <c r="Q10" i="1" s="1"/>
  <c r="L10" i="1"/>
  <c r="M10" i="1" s="1"/>
  <c r="H10" i="1"/>
  <c r="I10" i="1" s="1"/>
  <c r="P9" i="1"/>
  <c r="Q9" i="1" s="1"/>
  <c r="L9" i="1"/>
  <c r="M9" i="1" s="1"/>
  <c r="H9" i="1"/>
  <c r="I9" i="1" s="1"/>
  <c r="P8" i="1"/>
  <c r="Q8" i="1" s="1"/>
  <c r="L8" i="1"/>
  <c r="M8" i="1" s="1"/>
  <c r="H8" i="1"/>
  <c r="I8" i="1" s="1"/>
  <c r="P7" i="1"/>
  <c r="Q7" i="1" s="1"/>
  <c r="L7" i="1"/>
  <c r="M7" i="1" s="1"/>
  <c r="H7" i="1"/>
  <c r="I7" i="1" s="1"/>
  <c r="E22" i="2"/>
  <c r="D22" i="2"/>
  <c r="E19" i="2"/>
  <c r="E27" i="2"/>
  <c r="E26" i="2"/>
  <c r="E25" i="2"/>
  <c r="E24" i="2"/>
  <c r="E23" i="2"/>
  <c r="E21" i="2"/>
  <c r="E20" i="2"/>
  <c r="E18" i="2"/>
  <c r="E17" i="2"/>
  <c r="E16" i="2"/>
  <c r="D27" i="2"/>
  <c r="C27" i="2"/>
  <c r="D26" i="2"/>
  <c r="C26" i="2"/>
  <c r="D25" i="2"/>
  <c r="C25" i="2"/>
  <c r="D24" i="2"/>
  <c r="C24" i="2"/>
  <c r="D23" i="2"/>
  <c r="C23" i="2"/>
  <c r="D21" i="2"/>
  <c r="C21" i="2"/>
  <c r="D20" i="2"/>
  <c r="C20" i="2"/>
  <c r="D19" i="2"/>
  <c r="C19" i="2"/>
  <c r="D18" i="2"/>
  <c r="C18" i="2"/>
  <c r="D17" i="2"/>
  <c r="C17" i="2"/>
  <c r="D16" i="2"/>
  <c r="C16" i="2"/>
  <c r="P41" i="1" l="1"/>
  <c r="Q41" i="1" s="1"/>
  <c r="P15" i="1"/>
  <c r="Q15" i="1" s="1"/>
  <c r="D15" i="1"/>
  <c r="E15" i="1" s="1"/>
  <c r="B54" i="1"/>
  <c r="C54" i="1"/>
  <c r="H28" i="1"/>
  <c r="I28" i="1" s="1"/>
  <c r="D28" i="1"/>
  <c r="E28" i="1" s="1"/>
  <c r="L41" i="1"/>
  <c r="M41" i="1" s="1"/>
  <c r="D41" i="1"/>
  <c r="E41" i="1" s="1"/>
  <c r="L28" i="1"/>
  <c r="M28" i="1" s="1"/>
  <c r="L15" i="1"/>
  <c r="M15" i="1" s="1"/>
  <c r="H15" i="1"/>
  <c r="I15" i="1" s="1"/>
  <c r="H41" i="1"/>
  <c r="I41" i="1" s="1"/>
  <c r="P28" i="1"/>
  <c r="Q28" i="1" s="1"/>
  <c r="D54" i="1" l="1"/>
  <c r="E54" i="1" s="1"/>
</calcChain>
</file>

<file path=xl/sharedStrings.xml><?xml version="1.0" encoding="utf-8"?>
<sst xmlns="http://schemas.openxmlformats.org/spreadsheetml/2006/main" count="106" uniqueCount="55">
  <si>
    <t>ΗΛΙΚΙΑ</t>
  </si>
  <si>
    <t>ΜΕΤΑΒΟΛΗ</t>
  </si>
  <si>
    <t>ΑΡ.</t>
  </si>
  <si>
    <t>%</t>
  </si>
  <si>
    <t xml:space="preserve">          Ι Α Ν Ο Υ Α Ρ Ι Ο Σ</t>
  </si>
  <si>
    <t xml:space="preserve">       Φ Ε Β Ρ Ο Υ Α Ρ Ι Ο Σ</t>
  </si>
  <si>
    <t xml:space="preserve">       Μ Α Ρ Τ Ι Ο Σ</t>
  </si>
  <si>
    <t xml:space="preserve">  Α Π Ρ Ι Λ Ι Ο Σ</t>
  </si>
  <si>
    <t xml:space="preserve"> </t>
  </si>
  <si>
    <t>25-29</t>
  </si>
  <si>
    <t>30-39</t>
  </si>
  <si>
    <t>40-49</t>
  </si>
  <si>
    <t>60-64</t>
  </si>
  <si>
    <t>ΑΝΩ ΤΩΝ 65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</si>
  <si>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</si>
  <si>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</si>
  <si>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</si>
  <si>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</si>
  <si>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</si>
  <si>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</si>
  <si>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</si>
  <si>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</si>
  <si>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</si>
  <si>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 xml:space="preserve"> 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</si>
  <si>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</si>
  <si>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</si>
  <si>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</si>
  <si>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</si>
  <si>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</si>
  <si>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</si>
  <si>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</si>
  <si>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</si>
  <si>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</si>
  <si>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</si>
  <si>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</si>
  <si>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</si>
  <si>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7 mth avg</t>
  </si>
  <si>
    <t>8 mth avg</t>
  </si>
  <si>
    <t>9 mth avg</t>
  </si>
  <si>
    <t>10 mth avg</t>
  </si>
  <si>
    <t>Total unemployed</t>
  </si>
  <si>
    <t>1 mth avg</t>
  </si>
  <si>
    <t>2 mth avg</t>
  </si>
  <si>
    <t>3 mth avg</t>
  </si>
  <si>
    <t>4 mth avg</t>
  </si>
  <si>
    <t>5 mth avg</t>
  </si>
  <si>
    <t>6 mth avg</t>
  </si>
  <si>
    <t>11 mth av</t>
  </si>
  <si>
    <t>12 mth av</t>
  </si>
  <si>
    <t>Πίνακας 8</t>
  </si>
  <si>
    <t>58R</t>
  </si>
  <si>
    <t xml:space="preserve">     ΜΕΣΟΣ ΟΡΟΣ 12 ΜΗNΩΝ</t>
  </si>
  <si>
    <t>15-24</t>
  </si>
  <si>
    <t>50-59</t>
  </si>
  <si>
    <t>ΣΥΓΚΡΙΤΙΚΟΣ ΠΙΝΑΚΑΣ ΓΡΑΜΜΕΝΩΝ ΑΝΕΡΓΩΝ ΓΥΝΑΙΚΩΝ ΚΑΤΑ ΗΛΙΚΙΑ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</si>
</sst>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 Greek"/>
    </font>
    <font>
      <sz val="10"/>
      <name val="Arial Greek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0" xfId="0" quotePrefix="1" applyFont="1" applyBorder="1" applyAlignment="1">
      <alignment horizontal="left"/>
    </xf>
    <xf numFmtId="0" fontId="2" fillId="0" borderId="8" xfId="0" applyFont="1" applyBorder="1"/>
    <xf numFmtId="0" fontId="2" fillId="0" borderId="7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0" fontId="1" fillId="0" borderId="0" xfId="0" applyFont="1" applyBorder="1"/>
    <xf numFmtId="0" fontId="1" fillId="0" borderId="8" xfId="0" applyFont="1" applyBorder="1"/>
    <xf numFmtId="164" fontId="1" fillId="0" borderId="0" xfId="0" applyNumberFormat="1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9" fontId="1" fillId="0" borderId="0" xfId="0" applyNumberFormat="1" applyFont="1" applyBorder="1"/>
    <xf numFmtId="9" fontId="1" fillId="0" borderId="8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" fontId="3" fillId="0" borderId="0" xfId="0" applyNumberFormat="1" applyFont="1"/>
    <xf numFmtId="3" fontId="2" fillId="2" borderId="0" xfId="0" applyNumberFormat="1" applyFont="1" applyFill="1" applyBorder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3" fontId="7" fillId="2" borderId="0" xfId="0" applyNumberFormat="1" applyFont="1" applyFill="1"/>
    <xf numFmtId="3" fontId="7" fillId="0" borderId="0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/>
    <xf numFmtId="0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2" fillId="0" borderId="9" xfId="0" applyNumberFormat="1" applyFont="1" applyBorder="1"/>
    <xf numFmtId="3" fontId="2" fillId="0" borderId="9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topLeftCell="A16" zoomScaleNormal="100" workbookViewId="0">
      <selection activeCell="V26" sqref="V26"/>
    </sheetView>
  </sheetViews>
  <sheetFormatPr defaultColWidth="18.7109375" defaultRowHeight="11.25" x14ac:dyDescent="0.2"/>
  <cols>
    <col min="1" max="1" width="11.42578125" style="4" customWidth="1"/>
    <col min="2" max="2" width="6.140625" style="4" customWidth="1"/>
    <col min="3" max="3" width="6.5703125" style="4" customWidth="1"/>
    <col min="4" max="4" width="7.85546875" style="4" customWidth="1"/>
    <col min="5" max="5" width="6" style="4" customWidth="1"/>
    <col min="6" max="6" width="6.28515625" style="4" customWidth="1"/>
    <col min="7" max="7" width="5.85546875" style="4" customWidth="1"/>
    <col min="8" max="8" width="7.42578125" style="4" customWidth="1"/>
    <col min="9" max="9" width="5.5703125" style="4" customWidth="1"/>
    <col min="10" max="10" width="6" style="4" customWidth="1"/>
    <col min="11" max="11" width="6.5703125" style="4" customWidth="1"/>
    <col min="12" max="12" width="6" style="4" customWidth="1"/>
    <col min="13" max="13" width="5.5703125" style="4" customWidth="1"/>
    <col min="14" max="14" width="5.85546875" style="4" customWidth="1"/>
    <col min="15" max="15" width="6.5703125" style="4" customWidth="1"/>
    <col min="16" max="16" width="6" style="4" customWidth="1"/>
    <col min="17" max="17" width="6.140625" style="4" customWidth="1"/>
    <col min="18" max="20" width="5.7109375" style="4" customWidth="1"/>
    <col min="21" max="21" width="4.7109375" style="4" customWidth="1"/>
    <col min="22" max="16384" width="18.7109375" style="4"/>
  </cols>
  <sheetData>
    <row r="1" spans="1:20" x14ac:dyDescent="0.2">
      <c r="A1" s="1" t="s">
        <v>49</v>
      </c>
      <c r="B1" s="3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45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5" t="s">
        <v>0</v>
      </c>
      <c r="B3" s="7">
        <v>2020</v>
      </c>
      <c r="C3" s="7">
        <v>2021</v>
      </c>
      <c r="D3" s="6" t="s">
        <v>1</v>
      </c>
      <c r="E3" s="6"/>
      <c r="F3" s="7">
        <v>2020</v>
      </c>
      <c r="G3" s="7">
        <v>2021</v>
      </c>
      <c r="H3" s="6" t="s">
        <v>1</v>
      </c>
      <c r="I3" s="6"/>
      <c r="J3" s="7">
        <v>2020</v>
      </c>
      <c r="K3" s="7">
        <v>2021</v>
      </c>
      <c r="L3" s="6" t="s">
        <v>1</v>
      </c>
      <c r="M3" s="6"/>
      <c r="N3" s="7">
        <v>2020</v>
      </c>
      <c r="O3" s="7">
        <v>2021</v>
      </c>
      <c r="P3" s="6" t="s">
        <v>1</v>
      </c>
      <c r="Q3" s="8"/>
    </row>
    <row r="4" spans="1:20" s="2" customFormat="1" ht="12" thickBot="1" x14ac:dyDescent="0.25">
      <c r="A4" s="9"/>
      <c r="B4" s="11"/>
      <c r="C4" s="11"/>
      <c r="D4" s="11" t="s">
        <v>2</v>
      </c>
      <c r="E4" s="11" t="s">
        <v>3</v>
      </c>
      <c r="F4" s="11"/>
      <c r="G4" s="11"/>
      <c r="H4" s="11" t="s">
        <v>2</v>
      </c>
      <c r="I4" s="11" t="s">
        <v>3</v>
      </c>
      <c r="J4" s="11"/>
      <c r="K4" s="11"/>
      <c r="L4" s="11" t="s">
        <v>2</v>
      </c>
      <c r="M4" s="11" t="s">
        <v>3</v>
      </c>
      <c r="N4" s="11"/>
      <c r="O4" s="11"/>
      <c r="P4" s="11" t="s">
        <v>2</v>
      </c>
      <c r="Q4" s="12" t="s">
        <v>3</v>
      </c>
    </row>
    <row r="5" spans="1:20" s="2" customForma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T5" s="16"/>
    </row>
    <row r="6" spans="1:20" s="2" customFormat="1" x14ac:dyDescent="0.2">
      <c r="A6" s="17"/>
      <c r="B6" s="18" t="s">
        <v>4</v>
      </c>
      <c r="C6" s="16"/>
      <c r="D6" s="16"/>
      <c r="E6" s="16"/>
      <c r="F6" s="18" t="s">
        <v>5</v>
      </c>
      <c r="G6" s="16"/>
      <c r="H6" s="16"/>
      <c r="I6" s="16"/>
      <c r="J6" s="16"/>
      <c r="K6" s="18" t="s">
        <v>6</v>
      </c>
      <c r="L6" s="16"/>
      <c r="M6" s="16"/>
      <c r="N6" s="16"/>
      <c r="O6" s="18" t="s">
        <v>7</v>
      </c>
      <c r="P6" s="16"/>
      <c r="Q6" s="19"/>
    </row>
    <row r="7" spans="1:20" s="2" customFormat="1" x14ac:dyDescent="0.2">
      <c r="A7" s="17" t="s">
        <v>52</v>
      </c>
      <c r="B7" s="53">
        <f>87+768</f>
        <v>855</v>
      </c>
      <c r="C7" s="53">
        <f>84+1112</f>
        <v>1196</v>
      </c>
      <c r="D7" s="21">
        <f t="shared" ref="D7:D13" si="0">C7-B7</f>
        <v>341</v>
      </c>
      <c r="E7" s="22">
        <f t="shared" ref="E7:E13" si="1">D7/B7</f>
        <v>0.39883040935672515</v>
      </c>
      <c r="F7" s="53">
        <f>92+729</f>
        <v>821</v>
      </c>
      <c r="G7" s="53">
        <f>78+1120</f>
        <v>1198</v>
      </c>
      <c r="H7" s="21">
        <f t="shared" ref="H7:H13" si="2">G7-F7</f>
        <v>377</v>
      </c>
      <c r="I7" s="22">
        <f t="shared" ref="I7:I13" si="3">H7/F7</f>
        <v>0.4591961023142509</v>
      </c>
      <c r="J7" s="54">
        <f>94+761</f>
        <v>855</v>
      </c>
      <c r="K7" s="54">
        <f>77+1142</f>
        <v>1219</v>
      </c>
      <c r="L7" s="21">
        <f t="shared" ref="L7:L13" si="4">K7-J7</f>
        <v>364</v>
      </c>
      <c r="M7" s="22">
        <f t="shared" ref="M7:M13" si="5">L7/J7</f>
        <v>0.42573099415204679</v>
      </c>
      <c r="N7" s="54">
        <f>91+845</f>
        <v>936</v>
      </c>
      <c r="O7" s="54">
        <f>63+1090</f>
        <v>1153</v>
      </c>
      <c r="P7" s="21">
        <f t="shared" ref="P7:P13" si="6">O7-N7</f>
        <v>217</v>
      </c>
      <c r="Q7" s="23">
        <f t="shared" ref="Q7:Q13" si="7">P7/N7</f>
        <v>0.23183760683760685</v>
      </c>
    </row>
    <row r="8" spans="1:20" s="2" customFormat="1" x14ac:dyDescent="0.2">
      <c r="A8" s="17" t="s">
        <v>9</v>
      </c>
      <c r="B8" s="53">
        <v>1791</v>
      </c>
      <c r="C8" s="53">
        <v>2471</v>
      </c>
      <c r="D8" s="21">
        <f t="shared" si="0"/>
        <v>680</v>
      </c>
      <c r="E8" s="22">
        <f t="shared" si="1"/>
        <v>0.37967615857063092</v>
      </c>
      <c r="F8" s="53">
        <v>1758</v>
      </c>
      <c r="G8" s="53">
        <v>2523</v>
      </c>
      <c r="H8" s="21">
        <f t="shared" si="2"/>
        <v>765</v>
      </c>
      <c r="I8" s="22">
        <f t="shared" si="3"/>
        <v>0.43515358361774742</v>
      </c>
      <c r="J8" s="54">
        <v>1881</v>
      </c>
      <c r="K8" s="54">
        <v>2514</v>
      </c>
      <c r="L8" s="21">
        <f t="shared" si="4"/>
        <v>633</v>
      </c>
      <c r="M8" s="22">
        <f t="shared" si="5"/>
        <v>0.33652312599681022</v>
      </c>
      <c r="N8" s="54">
        <v>2094</v>
      </c>
      <c r="O8" s="54">
        <v>2423</v>
      </c>
      <c r="P8" s="21">
        <f t="shared" si="6"/>
        <v>329</v>
      </c>
      <c r="Q8" s="23">
        <f t="shared" si="7"/>
        <v>0.15711556829035339</v>
      </c>
    </row>
    <row r="9" spans="1:20" s="2" customFormat="1" x14ac:dyDescent="0.2">
      <c r="A9" s="20" t="s">
        <v>10</v>
      </c>
      <c r="B9" s="53">
        <v>3912</v>
      </c>
      <c r="C9" s="53">
        <v>5183</v>
      </c>
      <c r="D9" s="21">
        <f t="shared" si="0"/>
        <v>1271</v>
      </c>
      <c r="E9" s="22">
        <f t="shared" si="1"/>
        <v>0.32489775051124742</v>
      </c>
      <c r="F9" s="53">
        <v>3871</v>
      </c>
      <c r="G9" s="53">
        <v>5247</v>
      </c>
      <c r="H9" s="21">
        <f t="shared" si="2"/>
        <v>1376</v>
      </c>
      <c r="I9" s="22">
        <f t="shared" si="3"/>
        <v>0.35546370446912945</v>
      </c>
      <c r="J9" s="54">
        <v>4010</v>
      </c>
      <c r="K9" s="54">
        <v>5271</v>
      </c>
      <c r="L9" s="21">
        <f t="shared" si="4"/>
        <v>1261</v>
      </c>
      <c r="M9" s="22">
        <f t="shared" si="5"/>
        <v>0.31446384039900249</v>
      </c>
      <c r="N9" s="54">
        <v>4351</v>
      </c>
      <c r="O9" s="54">
        <v>5165</v>
      </c>
      <c r="P9" s="21">
        <f t="shared" si="6"/>
        <v>814</v>
      </c>
      <c r="Q9" s="23">
        <f t="shared" si="7"/>
        <v>0.18708342909675937</v>
      </c>
    </row>
    <row r="10" spans="1:20" s="2" customFormat="1" x14ac:dyDescent="0.2">
      <c r="A10" s="20" t="s">
        <v>11</v>
      </c>
      <c r="B10" s="53">
        <v>3589</v>
      </c>
      <c r="C10" s="53">
        <v>3973</v>
      </c>
      <c r="D10" s="21">
        <f t="shared" si="0"/>
        <v>384</v>
      </c>
      <c r="E10" s="22">
        <f t="shared" si="1"/>
        <v>0.106993591529674</v>
      </c>
      <c r="F10" s="53">
        <v>3501</v>
      </c>
      <c r="G10" s="53">
        <v>3967</v>
      </c>
      <c r="H10" s="21">
        <f t="shared" si="2"/>
        <v>466</v>
      </c>
      <c r="I10" s="22">
        <f t="shared" si="3"/>
        <v>0.1331048271922308</v>
      </c>
      <c r="J10" s="54">
        <v>3492</v>
      </c>
      <c r="K10" s="54">
        <v>3977</v>
      </c>
      <c r="L10" s="21">
        <f t="shared" si="4"/>
        <v>485</v>
      </c>
      <c r="M10" s="22">
        <f t="shared" si="5"/>
        <v>0.1388888888888889</v>
      </c>
      <c r="N10" s="54">
        <v>3716</v>
      </c>
      <c r="O10" s="54">
        <v>3882</v>
      </c>
      <c r="P10" s="21">
        <f t="shared" si="6"/>
        <v>166</v>
      </c>
      <c r="Q10" s="23">
        <f t="shared" si="7"/>
        <v>4.4671689989235736E-2</v>
      </c>
    </row>
    <row r="11" spans="1:20" s="2" customFormat="1" x14ac:dyDescent="0.2">
      <c r="A11" s="20" t="s">
        <v>53</v>
      </c>
      <c r="B11" s="53">
        <f>1676+1643</f>
        <v>3319</v>
      </c>
      <c r="C11" s="53">
        <f>1899+1703</f>
        <v>3602</v>
      </c>
      <c r="D11" s="21">
        <f t="shared" si="0"/>
        <v>283</v>
      </c>
      <c r="E11" s="22">
        <f t="shared" si="1"/>
        <v>8.5266646580295272E-2</v>
      </c>
      <c r="F11" s="53">
        <f>1649+1587</f>
        <v>3236</v>
      </c>
      <c r="G11" s="53">
        <f>1915+1723</f>
        <v>3638</v>
      </c>
      <c r="H11" s="21">
        <f t="shared" si="2"/>
        <v>402</v>
      </c>
      <c r="I11" s="22">
        <f t="shared" si="3"/>
        <v>0.1242274412855377</v>
      </c>
      <c r="J11" s="54">
        <f>1660+1547</f>
        <v>3207</v>
      </c>
      <c r="K11" s="54">
        <f>1916+1738</f>
        <v>3654</v>
      </c>
      <c r="L11" s="21">
        <f t="shared" si="4"/>
        <v>447</v>
      </c>
      <c r="M11" s="22">
        <f t="shared" si="5"/>
        <v>0.13938260056127222</v>
      </c>
      <c r="N11" s="54">
        <f>1776+1630</f>
        <v>3406</v>
      </c>
      <c r="O11" s="54">
        <f>1876+1748</f>
        <v>3624</v>
      </c>
      <c r="P11" s="21">
        <f t="shared" si="6"/>
        <v>218</v>
      </c>
      <c r="Q11" s="23">
        <f t="shared" si="7"/>
        <v>6.4004697592483853E-2</v>
      </c>
    </row>
    <row r="12" spans="1:20" s="2" customFormat="1" x14ac:dyDescent="0.2">
      <c r="A12" s="20" t="s">
        <v>12</v>
      </c>
      <c r="B12" s="53">
        <v>1157</v>
      </c>
      <c r="C12" s="53">
        <v>1546</v>
      </c>
      <c r="D12" s="21">
        <f t="shared" si="0"/>
        <v>389</v>
      </c>
      <c r="E12" s="22">
        <f t="shared" si="1"/>
        <v>0.33621434745030249</v>
      </c>
      <c r="F12" s="53">
        <v>1161</v>
      </c>
      <c r="G12" s="53">
        <v>1581</v>
      </c>
      <c r="H12" s="21">
        <f t="shared" si="2"/>
        <v>420</v>
      </c>
      <c r="I12" s="22">
        <f t="shared" si="3"/>
        <v>0.36175710594315247</v>
      </c>
      <c r="J12" s="54">
        <v>1173</v>
      </c>
      <c r="K12" s="54">
        <v>1594</v>
      </c>
      <c r="L12" s="21">
        <f t="shared" si="4"/>
        <v>421</v>
      </c>
      <c r="M12" s="22">
        <f t="shared" si="5"/>
        <v>0.35890878090366579</v>
      </c>
      <c r="N12" s="54">
        <v>1225</v>
      </c>
      <c r="O12" s="54">
        <v>1614</v>
      </c>
      <c r="P12" s="21">
        <f t="shared" si="6"/>
        <v>389</v>
      </c>
      <c r="Q12" s="23">
        <f t="shared" si="7"/>
        <v>0.31755102040816324</v>
      </c>
    </row>
    <row r="13" spans="1:20" s="2" customFormat="1" x14ac:dyDescent="0.2">
      <c r="A13" s="20" t="s">
        <v>13</v>
      </c>
      <c r="B13" s="53">
        <v>69</v>
      </c>
      <c r="C13" s="53">
        <v>158</v>
      </c>
      <c r="D13" s="21">
        <f t="shared" si="0"/>
        <v>89</v>
      </c>
      <c r="E13" s="22">
        <f t="shared" si="1"/>
        <v>1.2898550724637681</v>
      </c>
      <c r="F13" s="53">
        <v>69</v>
      </c>
      <c r="G13" s="53">
        <v>175</v>
      </c>
      <c r="H13" s="21">
        <f t="shared" si="2"/>
        <v>106</v>
      </c>
      <c r="I13" s="22">
        <f t="shared" si="3"/>
        <v>1.536231884057971</v>
      </c>
      <c r="J13" s="54">
        <v>77</v>
      </c>
      <c r="K13" s="54">
        <v>187</v>
      </c>
      <c r="L13" s="21">
        <f t="shared" si="4"/>
        <v>110</v>
      </c>
      <c r="M13" s="22">
        <f t="shared" si="5"/>
        <v>1.4285714285714286</v>
      </c>
      <c r="N13" s="54">
        <v>89</v>
      </c>
      <c r="O13" s="54">
        <v>201</v>
      </c>
      <c r="P13" s="21">
        <f t="shared" si="6"/>
        <v>112</v>
      </c>
      <c r="Q13" s="23">
        <f t="shared" si="7"/>
        <v>1.2584269662921348</v>
      </c>
    </row>
    <row r="14" spans="1:20" s="2" customFormat="1" x14ac:dyDescent="0.2">
      <c r="A14" s="17"/>
      <c r="B14" s="21"/>
      <c r="C14" s="21"/>
      <c r="D14" s="21" t="s">
        <v>8</v>
      </c>
      <c r="E14" s="22" t="s">
        <v>8</v>
      </c>
      <c r="F14" s="21"/>
      <c r="G14" s="21"/>
      <c r="H14" s="21" t="s">
        <v>8</v>
      </c>
      <c r="I14" s="22" t="s">
        <v>8</v>
      </c>
      <c r="J14" s="21"/>
      <c r="K14" s="21"/>
      <c r="L14" s="21" t="s">
        <v>8</v>
      </c>
      <c r="M14" s="22" t="s">
        <v>8</v>
      </c>
      <c r="N14" s="21"/>
      <c r="O14" s="21"/>
      <c r="P14" s="21" t="s">
        <v>8</v>
      </c>
      <c r="Q14" s="23" t="s">
        <v>8</v>
      </c>
    </row>
    <row r="15" spans="1:20" s="2" customFormat="1" x14ac:dyDescent="0.2">
      <c r="A15" s="17" t="s">
        <v>14</v>
      </c>
      <c r="B15" s="21">
        <f>SUM(B7:B14)</f>
        <v>14692</v>
      </c>
      <c r="C15" s="21">
        <f>SUM(C7:C14)</f>
        <v>18129</v>
      </c>
      <c r="D15" s="21">
        <f>C15-B15</f>
        <v>3437</v>
      </c>
      <c r="E15" s="22">
        <f>D15/B15</f>
        <v>0.23393683637353663</v>
      </c>
      <c r="F15" s="21">
        <f>SUM(F7:F14)</f>
        <v>14417</v>
      </c>
      <c r="G15" s="21">
        <f>SUM(G7:G14)</f>
        <v>18329</v>
      </c>
      <c r="H15" s="21">
        <f>G15-F15</f>
        <v>3912</v>
      </c>
      <c r="I15" s="22">
        <f>H15/F15</f>
        <v>0.27134632725254909</v>
      </c>
      <c r="J15" s="21">
        <f>SUM(J7:J14)</f>
        <v>14695</v>
      </c>
      <c r="K15" s="21">
        <f>SUM(K7:K14)</f>
        <v>18416</v>
      </c>
      <c r="L15" s="21">
        <f>K15-J15</f>
        <v>3721</v>
      </c>
      <c r="M15" s="22">
        <f>L15/J15</f>
        <v>0.25321537938074173</v>
      </c>
      <c r="N15" s="21">
        <f>SUM(N7:N14)</f>
        <v>15817</v>
      </c>
      <c r="O15" s="21">
        <f>SUM(O7:O14)</f>
        <v>18062</v>
      </c>
      <c r="P15" s="21">
        <f>O15-N15</f>
        <v>2245</v>
      </c>
      <c r="Q15" s="23">
        <f>P15/N15</f>
        <v>0.1419358917620282</v>
      </c>
    </row>
    <row r="16" spans="1:20" s="2" customFormat="1" x14ac:dyDescent="0.2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9"/>
    </row>
    <row r="17" spans="1:18" s="2" customFormat="1" ht="3" customHeight="1" x14ac:dyDescent="0.2">
      <c r="A17" s="17"/>
      <c r="B17" s="22"/>
      <c r="C17" s="22"/>
      <c r="D17" s="16"/>
      <c r="E17" s="16"/>
      <c r="F17" s="22"/>
      <c r="G17" s="22"/>
      <c r="H17" s="16"/>
      <c r="I17" s="16"/>
      <c r="J17" s="22"/>
      <c r="K17" s="22"/>
      <c r="L17" s="16"/>
      <c r="M17" s="16"/>
      <c r="N17" s="22"/>
      <c r="O17" s="22"/>
      <c r="P17" s="16"/>
      <c r="Q17" s="19"/>
    </row>
    <row r="18" spans="1:18" s="2" customFormat="1" ht="3" customHeight="1" x14ac:dyDescent="0.2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9"/>
    </row>
    <row r="19" spans="1:18" s="2" customFormat="1" x14ac:dyDescent="0.2">
      <c r="A19" s="17"/>
      <c r="B19" s="16"/>
      <c r="C19" s="18" t="s">
        <v>15</v>
      </c>
      <c r="D19" s="16"/>
      <c r="E19" s="16"/>
      <c r="F19" s="16"/>
      <c r="G19" s="16" t="s">
        <v>16</v>
      </c>
      <c r="H19" s="16"/>
      <c r="I19" s="16"/>
      <c r="J19" s="16"/>
      <c r="K19" s="16" t="s">
        <v>17</v>
      </c>
      <c r="L19" s="16"/>
      <c r="M19" s="16"/>
      <c r="N19" s="16" t="s">
        <v>18</v>
      </c>
      <c r="O19" s="16"/>
      <c r="P19" s="16"/>
      <c r="Q19" s="19"/>
    </row>
    <row r="20" spans="1:18" s="2" customFormat="1" x14ac:dyDescent="0.2">
      <c r="A20" s="17" t="s">
        <v>52</v>
      </c>
      <c r="B20" s="55">
        <f>91+895</f>
        <v>986</v>
      </c>
      <c r="C20" s="55">
        <f>59+1045</f>
        <v>1104</v>
      </c>
      <c r="D20" s="26">
        <f t="shared" ref="D20:D26" si="8">C20-B20</f>
        <v>118</v>
      </c>
      <c r="E20" s="27">
        <f t="shared" ref="E20:E26" si="9">D20/B20</f>
        <v>0.11967545638945233</v>
      </c>
      <c r="F20" s="55">
        <f>84+961</f>
        <v>1045</v>
      </c>
      <c r="G20" s="55">
        <f>39+794</f>
        <v>833</v>
      </c>
      <c r="H20" s="26">
        <f t="shared" ref="H20:H26" si="10">G20-F20</f>
        <v>-212</v>
      </c>
      <c r="I20" s="27">
        <f t="shared" ref="I20:I26" si="11">H20/F20</f>
        <v>-0.20287081339712917</v>
      </c>
      <c r="J20" s="55">
        <f>84+1032</f>
        <v>1116</v>
      </c>
      <c r="K20" s="55">
        <f>31+449</f>
        <v>480</v>
      </c>
      <c r="L20" s="26">
        <f t="shared" ref="L20:L26" si="12">K20-J20</f>
        <v>-636</v>
      </c>
      <c r="M20" s="27">
        <f t="shared" ref="M20:M26" si="13">L20/J20</f>
        <v>-0.56989247311827962</v>
      </c>
      <c r="N20" s="55">
        <f>85+1070</f>
        <v>1155</v>
      </c>
      <c r="O20" s="55">
        <f>15+377</f>
        <v>392</v>
      </c>
      <c r="P20" s="26">
        <f t="shared" ref="P20:P26" si="14">O20-N20</f>
        <v>-763</v>
      </c>
      <c r="Q20" s="28">
        <f t="shared" ref="Q20:Q26" si="15">P20/N20</f>
        <v>-0.66060606060606064</v>
      </c>
    </row>
    <row r="21" spans="1:18" x14ac:dyDescent="0.2">
      <c r="A21" s="17" t="s">
        <v>9</v>
      </c>
      <c r="B21" s="55">
        <v>2208</v>
      </c>
      <c r="C21" s="55">
        <v>2352</v>
      </c>
      <c r="D21" s="26">
        <f t="shared" si="8"/>
        <v>144</v>
      </c>
      <c r="E21" s="27">
        <f t="shared" si="9"/>
        <v>6.5217391304347824E-2</v>
      </c>
      <c r="F21" s="55">
        <v>2398</v>
      </c>
      <c r="G21" s="55">
        <v>2054</v>
      </c>
      <c r="H21" s="26">
        <f t="shared" si="10"/>
        <v>-344</v>
      </c>
      <c r="I21" s="27">
        <f t="shared" si="11"/>
        <v>-0.14345287739783152</v>
      </c>
      <c r="J21" s="55">
        <v>2632</v>
      </c>
      <c r="K21" s="55">
        <v>1483</v>
      </c>
      <c r="L21" s="26">
        <f t="shared" si="12"/>
        <v>-1149</v>
      </c>
      <c r="M21" s="27">
        <f t="shared" si="13"/>
        <v>-0.43655015197568386</v>
      </c>
      <c r="N21" s="55">
        <v>2907</v>
      </c>
      <c r="O21" s="55">
        <v>1324</v>
      </c>
      <c r="P21" s="26">
        <f t="shared" si="14"/>
        <v>-1583</v>
      </c>
      <c r="Q21" s="28">
        <f t="shared" si="15"/>
        <v>-0.544547643618851</v>
      </c>
    </row>
    <row r="22" spans="1:18" x14ac:dyDescent="0.2">
      <c r="A22" s="20" t="s">
        <v>10</v>
      </c>
      <c r="B22" s="55">
        <v>4506</v>
      </c>
      <c r="C22" s="55">
        <v>4970</v>
      </c>
      <c r="D22" s="26">
        <f t="shared" si="8"/>
        <v>464</v>
      </c>
      <c r="E22" s="27">
        <f t="shared" si="9"/>
        <v>0.10297381269418553</v>
      </c>
      <c r="F22" s="55">
        <v>5160</v>
      </c>
      <c r="G22" s="55">
        <v>4680</v>
      </c>
      <c r="H22" s="26">
        <f t="shared" si="10"/>
        <v>-480</v>
      </c>
      <c r="I22" s="27">
        <f t="shared" si="11"/>
        <v>-9.3023255813953487E-2</v>
      </c>
      <c r="J22" s="55">
        <v>5821</v>
      </c>
      <c r="K22" s="55">
        <v>3690</v>
      </c>
      <c r="L22" s="26">
        <f t="shared" si="12"/>
        <v>-2131</v>
      </c>
      <c r="M22" s="27">
        <f t="shared" si="13"/>
        <v>-0.36608830097921319</v>
      </c>
      <c r="N22" s="55">
        <v>6116</v>
      </c>
      <c r="O22" s="55">
        <v>3456</v>
      </c>
      <c r="P22" s="26">
        <f t="shared" si="14"/>
        <v>-2660</v>
      </c>
      <c r="Q22" s="28">
        <f t="shared" si="15"/>
        <v>-0.43492478744277308</v>
      </c>
    </row>
    <row r="23" spans="1:18" x14ac:dyDescent="0.2">
      <c r="A23" s="20" t="s">
        <v>11</v>
      </c>
      <c r="B23" s="55">
        <v>3818</v>
      </c>
      <c r="C23" s="55">
        <v>3760</v>
      </c>
      <c r="D23" s="26">
        <f t="shared" si="8"/>
        <v>-58</v>
      </c>
      <c r="E23" s="27">
        <f t="shared" si="9"/>
        <v>-1.5191199580932426E-2</v>
      </c>
      <c r="F23" s="55">
        <v>4110</v>
      </c>
      <c r="G23" s="55">
        <v>3340</v>
      </c>
      <c r="H23" s="26">
        <f t="shared" si="10"/>
        <v>-770</v>
      </c>
      <c r="I23" s="27">
        <f t="shared" si="11"/>
        <v>-0.18734793187347931</v>
      </c>
      <c r="J23" s="55">
        <v>4370</v>
      </c>
      <c r="K23" s="55">
        <v>2639</v>
      </c>
      <c r="L23" s="26">
        <f t="shared" si="12"/>
        <v>-1731</v>
      </c>
      <c r="M23" s="27">
        <f t="shared" si="13"/>
        <v>-0.39610983981693365</v>
      </c>
      <c r="N23" s="55">
        <v>4495</v>
      </c>
      <c r="O23" s="55">
        <v>2259</v>
      </c>
      <c r="P23" s="26">
        <f t="shared" si="14"/>
        <v>-2236</v>
      </c>
      <c r="Q23" s="28">
        <f t="shared" si="15"/>
        <v>-0.49744160177975527</v>
      </c>
    </row>
    <row r="24" spans="1:18" x14ac:dyDescent="0.2">
      <c r="A24" s="20" t="s">
        <v>53</v>
      </c>
      <c r="B24" s="55">
        <f>1825+1664</f>
        <v>3489</v>
      </c>
      <c r="C24" s="55">
        <f>1839+1719</f>
        <v>3558</v>
      </c>
      <c r="D24" s="26">
        <f t="shared" si="8"/>
        <v>69</v>
      </c>
      <c r="E24" s="27">
        <f t="shared" si="9"/>
        <v>1.9776440240756664E-2</v>
      </c>
      <c r="F24" s="55">
        <f>1960+1797</f>
        <v>3757</v>
      </c>
      <c r="G24" s="55">
        <f>1580+1533</f>
        <v>3113</v>
      </c>
      <c r="H24" s="26">
        <f t="shared" si="10"/>
        <v>-644</v>
      </c>
      <c r="I24" s="27">
        <f t="shared" si="11"/>
        <v>-0.17141336172478042</v>
      </c>
      <c r="J24" s="55">
        <f>2071+1834</f>
        <v>3905</v>
      </c>
      <c r="K24" s="55">
        <f>1190+1206</f>
        <v>2396</v>
      </c>
      <c r="L24" s="26">
        <f t="shared" si="12"/>
        <v>-1509</v>
      </c>
      <c r="M24" s="27">
        <f t="shared" si="13"/>
        <v>-0.38642765685019204</v>
      </c>
      <c r="N24" s="55">
        <f>2095+1902</f>
        <v>3997</v>
      </c>
      <c r="O24" s="55">
        <f>1033+956</f>
        <v>1989</v>
      </c>
      <c r="P24" s="26">
        <f t="shared" si="14"/>
        <v>-2008</v>
      </c>
      <c r="Q24" s="28"/>
    </row>
    <row r="25" spans="1:18" x14ac:dyDescent="0.2">
      <c r="A25" s="20" t="s">
        <v>12</v>
      </c>
      <c r="B25" s="55">
        <v>1255</v>
      </c>
      <c r="C25" s="55">
        <v>1625</v>
      </c>
      <c r="D25" s="26">
        <f t="shared" si="8"/>
        <v>370</v>
      </c>
      <c r="E25" s="27">
        <f t="shared" si="9"/>
        <v>0.29482071713147412</v>
      </c>
      <c r="F25" s="55">
        <v>1352</v>
      </c>
      <c r="G25" s="55">
        <v>1398</v>
      </c>
      <c r="H25" s="26">
        <f t="shared" si="10"/>
        <v>46</v>
      </c>
      <c r="I25" s="27">
        <f t="shared" si="11"/>
        <v>3.4023668639053255E-2</v>
      </c>
      <c r="J25" s="55">
        <v>1426</v>
      </c>
      <c r="K25" s="55">
        <v>1015</v>
      </c>
      <c r="L25" s="26">
        <f t="shared" si="12"/>
        <v>-411</v>
      </c>
      <c r="M25" s="27">
        <f t="shared" si="13"/>
        <v>-0.28821879382889198</v>
      </c>
      <c r="N25" s="55">
        <v>1545</v>
      </c>
      <c r="O25" s="55">
        <v>824</v>
      </c>
      <c r="P25" s="26">
        <f t="shared" si="14"/>
        <v>-721</v>
      </c>
      <c r="Q25" s="28">
        <f t="shared" si="15"/>
        <v>-0.46666666666666667</v>
      </c>
    </row>
    <row r="26" spans="1:18" x14ac:dyDescent="0.2">
      <c r="A26" s="20" t="s">
        <v>13</v>
      </c>
      <c r="B26" s="55">
        <v>100</v>
      </c>
      <c r="C26" s="55">
        <v>217</v>
      </c>
      <c r="D26" s="26">
        <f t="shared" si="8"/>
        <v>117</v>
      </c>
      <c r="E26" s="27">
        <f t="shared" si="9"/>
        <v>1.17</v>
      </c>
      <c r="F26" s="55">
        <v>113</v>
      </c>
      <c r="G26" s="55">
        <v>167</v>
      </c>
      <c r="H26" s="26">
        <f t="shared" si="10"/>
        <v>54</v>
      </c>
      <c r="I26" s="27">
        <f t="shared" si="11"/>
        <v>0.47787610619469029</v>
      </c>
      <c r="J26" s="55">
        <v>125</v>
      </c>
      <c r="K26" s="55">
        <v>90</v>
      </c>
      <c r="L26" s="26">
        <f t="shared" si="12"/>
        <v>-35</v>
      </c>
      <c r="M26" s="27">
        <f t="shared" si="13"/>
        <v>-0.28000000000000003</v>
      </c>
      <c r="N26" s="55">
        <v>140</v>
      </c>
      <c r="O26" s="55">
        <v>59</v>
      </c>
      <c r="P26" s="26">
        <f t="shared" si="14"/>
        <v>-81</v>
      </c>
      <c r="Q26" s="28">
        <f t="shared" si="15"/>
        <v>-0.57857142857142863</v>
      </c>
    </row>
    <row r="27" spans="1:18" x14ac:dyDescent="0.2">
      <c r="A27" s="17"/>
      <c r="B27" s="26"/>
      <c r="C27" s="26"/>
      <c r="D27" s="26"/>
      <c r="E27" s="27" t="s">
        <v>8</v>
      </c>
      <c r="F27" s="16"/>
      <c r="G27" s="16"/>
      <c r="H27" s="26" t="s">
        <v>8</v>
      </c>
      <c r="I27" s="27" t="s">
        <v>8</v>
      </c>
      <c r="J27" s="26"/>
      <c r="K27" s="26"/>
      <c r="L27" s="16"/>
      <c r="M27" s="16"/>
      <c r="N27" s="26"/>
      <c r="O27" s="26"/>
      <c r="P27" s="16"/>
      <c r="Q27" s="30"/>
    </row>
    <row r="28" spans="1:18" x14ac:dyDescent="0.2">
      <c r="A28" s="17" t="s">
        <v>14</v>
      </c>
      <c r="B28" s="26">
        <f>SUM(B20:B26)</f>
        <v>16362</v>
      </c>
      <c r="C28" s="26">
        <f>SUM(C20:C26)</f>
        <v>17586</v>
      </c>
      <c r="D28" s="26">
        <f>C28-B28</f>
        <v>1224</v>
      </c>
      <c r="E28" s="27">
        <f>D28/B28</f>
        <v>7.4807480748074806E-2</v>
      </c>
      <c r="F28" s="26">
        <f>SUM(F20:F27)</f>
        <v>17935</v>
      </c>
      <c r="G28" s="26">
        <f>SUM(G20:G27)</f>
        <v>15585</v>
      </c>
      <c r="H28" s="26">
        <f>G28-F28</f>
        <v>-2350</v>
      </c>
      <c r="I28" s="27">
        <f>H28/F28</f>
        <v>-0.13102871480345693</v>
      </c>
      <c r="J28" s="43">
        <f>SUM(J20:J27)</f>
        <v>19395</v>
      </c>
      <c r="K28" s="43">
        <f>SUM(K20:K27)</f>
        <v>11793</v>
      </c>
      <c r="L28" s="26">
        <f>K28-J28</f>
        <v>-7602</v>
      </c>
      <c r="M28" s="27">
        <f>L28/J28</f>
        <v>-0.39195668986852283</v>
      </c>
      <c r="N28" s="26">
        <f>SUM(N20:N27)</f>
        <v>20355</v>
      </c>
      <c r="O28" s="26">
        <f>SUM(O20:O27)</f>
        <v>10303</v>
      </c>
      <c r="P28" s="26">
        <f>O28-N28</f>
        <v>-10052</v>
      </c>
      <c r="Q28" s="28">
        <f>P28/N28</f>
        <v>-0.49383443871284699</v>
      </c>
    </row>
    <row r="29" spans="1:18" x14ac:dyDescent="0.2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</row>
    <row r="30" spans="1:18" ht="8.25" customHeight="1" x14ac:dyDescent="0.2">
      <c r="A30" s="17"/>
      <c r="B30" s="22"/>
      <c r="C30" s="22"/>
      <c r="D30" s="35"/>
      <c r="E30" s="35"/>
      <c r="F30" s="22"/>
      <c r="G30" s="22"/>
      <c r="H30" s="35"/>
      <c r="I30" s="35"/>
      <c r="J30" s="22"/>
      <c r="K30" s="22"/>
      <c r="L30" s="35"/>
      <c r="M30" s="35"/>
      <c r="N30" s="22"/>
      <c r="O30" s="22"/>
      <c r="P30" s="35"/>
      <c r="Q30" s="36"/>
    </row>
    <row r="31" spans="1:18" ht="8.25" customHeight="1" x14ac:dyDescent="0.2">
      <c r="A31" s="25"/>
      <c r="B31" s="16"/>
      <c r="C31" s="16"/>
      <c r="D31" s="29"/>
      <c r="E31" s="3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29"/>
    </row>
    <row r="32" spans="1:18" x14ac:dyDescent="0.2">
      <c r="A32" s="32"/>
      <c r="B32" s="16" t="s">
        <v>19</v>
      </c>
      <c r="C32" s="29"/>
      <c r="D32" s="29"/>
      <c r="E32" s="29"/>
      <c r="F32" s="16" t="s">
        <v>20</v>
      </c>
      <c r="G32" s="16"/>
      <c r="H32" s="16"/>
      <c r="I32" s="16"/>
      <c r="J32" s="16" t="s">
        <v>21</v>
      </c>
      <c r="K32" s="16"/>
      <c r="L32" s="16"/>
      <c r="M32" s="16"/>
      <c r="N32" s="16" t="s">
        <v>22</v>
      </c>
      <c r="O32" s="16"/>
      <c r="P32" s="16"/>
      <c r="Q32" s="19"/>
    </row>
    <row r="33" spans="1:18" x14ac:dyDescent="0.2">
      <c r="A33" s="17" t="s">
        <v>52</v>
      </c>
      <c r="B33" s="55">
        <f>80+1003</f>
        <v>1083</v>
      </c>
      <c r="C33" s="55">
        <f>11+294</f>
        <v>305</v>
      </c>
      <c r="D33" s="26">
        <f t="shared" ref="D33:D39" si="16">C33-B33</f>
        <v>-778</v>
      </c>
      <c r="E33" s="27">
        <f t="shared" ref="E33:E39" si="17">D33/B33</f>
        <v>-0.71837488457987075</v>
      </c>
      <c r="F33" s="55">
        <f>86+1057</f>
        <v>1143</v>
      </c>
      <c r="G33" s="55">
        <f>10+286</f>
        <v>296</v>
      </c>
      <c r="H33" s="26">
        <f t="shared" ref="H33:H39" si="18">G33-F33</f>
        <v>-847</v>
      </c>
      <c r="I33" s="27">
        <f t="shared" ref="I33:I39" si="19">H33/F33</f>
        <v>-0.74103237095363084</v>
      </c>
      <c r="J33" s="55">
        <f>89+1182</f>
        <v>1271</v>
      </c>
      <c r="K33" s="55">
        <v>429</v>
      </c>
      <c r="L33" s="26">
        <f t="shared" ref="L33:L39" si="20">K33-J33</f>
        <v>-842</v>
      </c>
      <c r="M33" s="27">
        <f t="shared" ref="M33:M39" si="21">L33/J33</f>
        <v>-0.66247049567269867</v>
      </c>
      <c r="N33" s="55">
        <f>93+1189</f>
        <v>1282</v>
      </c>
      <c r="O33" s="55">
        <f>30+382</f>
        <v>412</v>
      </c>
      <c r="P33" s="26">
        <f t="shared" ref="P33:P39" si="22">O33-N33</f>
        <v>-870</v>
      </c>
      <c r="Q33" s="28">
        <f t="shared" ref="Q33:Q39" si="23">P33/N33</f>
        <v>-0.67862714508580346</v>
      </c>
      <c r="R33" s="2"/>
    </row>
    <row r="34" spans="1:18" x14ac:dyDescent="0.2">
      <c r="A34" s="17" t="s">
        <v>9</v>
      </c>
      <c r="B34" s="55">
        <v>2632</v>
      </c>
      <c r="C34" s="55">
        <v>808</v>
      </c>
      <c r="D34" s="26">
        <f t="shared" si="16"/>
        <v>-1824</v>
      </c>
      <c r="E34" s="27">
        <f t="shared" si="17"/>
        <v>-0.69300911854103342</v>
      </c>
      <c r="F34" s="55">
        <v>2642</v>
      </c>
      <c r="G34" s="55">
        <v>780</v>
      </c>
      <c r="H34" s="26">
        <f t="shared" si="18"/>
        <v>-1862</v>
      </c>
      <c r="I34" s="27">
        <f t="shared" si="19"/>
        <v>-0.7047691143073429</v>
      </c>
      <c r="J34" s="55">
        <v>2686</v>
      </c>
      <c r="K34" s="55">
        <v>959</v>
      </c>
      <c r="L34" s="26">
        <f t="shared" si="20"/>
        <v>-1727</v>
      </c>
      <c r="M34" s="27">
        <f t="shared" si="21"/>
        <v>-0.64296351451973199</v>
      </c>
      <c r="N34" s="56">
        <v>2637</v>
      </c>
      <c r="O34" s="56">
        <v>973</v>
      </c>
      <c r="P34" s="26">
        <f t="shared" si="22"/>
        <v>-1664</v>
      </c>
      <c r="Q34" s="28">
        <f t="shared" si="23"/>
        <v>-0.63102009859689046</v>
      </c>
      <c r="R34" s="2"/>
    </row>
    <row r="35" spans="1:18" x14ac:dyDescent="0.2">
      <c r="A35" s="20" t="s">
        <v>10</v>
      </c>
      <c r="B35" s="55">
        <v>5209</v>
      </c>
      <c r="C35" s="55">
        <v>2115</v>
      </c>
      <c r="D35" s="26">
        <f t="shared" si="16"/>
        <v>-3094</v>
      </c>
      <c r="E35" s="27">
        <f t="shared" si="17"/>
        <v>-0.59397197158763682</v>
      </c>
      <c r="F35" s="55">
        <v>5261</v>
      </c>
      <c r="G35" s="55">
        <v>1879</v>
      </c>
      <c r="H35" s="26">
        <f t="shared" si="18"/>
        <v>-3382</v>
      </c>
      <c r="I35" s="27">
        <f t="shared" si="19"/>
        <v>-0.64284356586200342</v>
      </c>
      <c r="J35" s="55">
        <v>5384</v>
      </c>
      <c r="K35" s="55">
        <v>2206</v>
      </c>
      <c r="L35" s="26">
        <f t="shared" si="20"/>
        <v>-3178</v>
      </c>
      <c r="M35" s="27">
        <f t="shared" si="21"/>
        <v>-0.59026745913818723</v>
      </c>
      <c r="N35" s="56">
        <v>5422</v>
      </c>
      <c r="O35" s="56">
        <v>2255</v>
      </c>
      <c r="P35" s="26">
        <f t="shared" si="22"/>
        <v>-3167</v>
      </c>
      <c r="Q35" s="28">
        <f t="shared" si="23"/>
        <v>-0.58410180745112505</v>
      </c>
      <c r="R35" s="2"/>
    </row>
    <row r="36" spans="1:18" x14ac:dyDescent="0.2">
      <c r="A36" s="20" t="s">
        <v>11</v>
      </c>
      <c r="B36" s="55">
        <v>3868</v>
      </c>
      <c r="C36" s="55">
        <v>1414</v>
      </c>
      <c r="D36" s="26">
        <f t="shared" si="16"/>
        <v>-2454</v>
      </c>
      <c r="E36" s="27">
        <f t="shared" si="17"/>
        <v>-0.63443640124095135</v>
      </c>
      <c r="F36" s="55">
        <v>3934</v>
      </c>
      <c r="G36" s="55">
        <v>1360</v>
      </c>
      <c r="H36" s="26">
        <f t="shared" si="18"/>
        <v>-2574</v>
      </c>
      <c r="I36" s="27">
        <f t="shared" si="19"/>
        <v>-0.65429588205388922</v>
      </c>
      <c r="J36" s="55">
        <v>4104</v>
      </c>
      <c r="K36" s="55">
        <v>1790</v>
      </c>
      <c r="L36" s="26">
        <f t="shared" si="20"/>
        <v>-2314</v>
      </c>
      <c r="M36" s="27">
        <f t="shared" si="21"/>
        <v>-0.56384015594541914</v>
      </c>
      <c r="N36" s="56">
        <v>4136</v>
      </c>
      <c r="O36" s="56">
        <v>1958</v>
      </c>
      <c r="P36" s="26">
        <f t="shared" si="22"/>
        <v>-2178</v>
      </c>
      <c r="Q36" s="28">
        <f t="shared" si="23"/>
        <v>-0.52659574468085102</v>
      </c>
      <c r="R36" s="2"/>
    </row>
    <row r="37" spans="1:18" x14ac:dyDescent="0.2">
      <c r="A37" s="20" t="s">
        <v>53</v>
      </c>
      <c r="B37" s="55">
        <f>1773+1659</f>
        <v>3432</v>
      </c>
      <c r="C37" s="55">
        <f>640+636</f>
        <v>1276</v>
      </c>
      <c r="D37" s="26">
        <f t="shared" si="16"/>
        <v>-2156</v>
      </c>
      <c r="E37" s="27">
        <f t="shared" si="17"/>
        <v>-0.62820512820512819</v>
      </c>
      <c r="F37" s="55">
        <f>1810+1682</f>
        <v>3492</v>
      </c>
      <c r="G37" s="55">
        <f>613+634</f>
        <v>1247</v>
      </c>
      <c r="H37" s="26">
        <f t="shared" si="18"/>
        <v>-2245</v>
      </c>
      <c r="I37" s="27">
        <f t="shared" si="19"/>
        <v>-0.64289805269186717</v>
      </c>
      <c r="J37" s="55">
        <f>1885+1720</f>
        <v>3605</v>
      </c>
      <c r="K37" s="55">
        <f>837+815</f>
        <v>1652</v>
      </c>
      <c r="L37" s="26">
        <f t="shared" si="20"/>
        <v>-1953</v>
      </c>
      <c r="M37" s="27">
        <f t="shared" si="21"/>
        <v>-0.54174757281553398</v>
      </c>
      <c r="N37" s="55">
        <f>1909+1720</f>
        <v>3629</v>
      </c>
      <c r="O37" s="55">
        <f>929+846</f>
        <v>1775</v>
      </c>
      <c r="P37" s="26">
        <f t="shared" si="22"/>
        <v>-1854</v>
      </c>
      <c r="Q37" s="28">
        <f t="shared" si="23"/>
        <v>-0.51088454119592175</v>
      </c>
      <c r="R37" s="2"/>
    </row>
    <row r="38" spans="1:18" x14ac:dyDescent="0.2">
      <c r="A38" s="20" t="s">
        <v>12</v>
      </c>
      <c r="B38" s="55">
        <v>1446</v>
      </c>
      <c r="C38" s="55">
        <v>558</v>
      </c>
      <c r="D38" s="26">
        <f t="shared" si="16"/>
        <v>-888</v>
      </c>
      <c r="E38" s="27">
        <f t="shared" si="17"/>
        <v>-0.61410788381742742</v>
      </c>
      <c r="F38" s="55">
        <v>1463</v>
      </c>
      <c r="G38" s="55">
        <v>529</v>
      </c>
      <c r="H38" s="26">
        <f t="shared" si="18"/>
        <v>-934</v>
      </c>
      <c r="I38" s="27">
        <f t="shared" si="19"/>
        <v>-0.63841421736158577</v>
      </c>
      <c r="J38" s="55">
        <v>1502</v>
      </c>
      <c r="K38" s="55">
        <v>628</v>
      </c>
      <c r="L38" s="26">
        <f t="shared" si="20"/>
        <v>-874</v>
      </c>
      <c r="M38" s="27">
        <f t="shared" si="21"/>
        <v>-0.5818908122503329</v>
      </c>
      <c r="N38" s="56">
        <v>1560</v>
      </c>
      <c r="O38" s="56">
        <v>676</v>
      </c>
      <c r="P38" s="26">
        <f t="shared" si="22"/>
        <v>-884</v>
      </c>
      <c r="Q38" s="28">
        <f t="shared" si="23"/>
        <v>-0.56666666666666665</v>
      </c>
      <c r="R38" s="2"/>
    </row>
    <row r="39" spans="1:18" x14ac:dyDescent="0.2">
      <c r="A39" s="20" t="s">
        <v>13</v>
      </c>
      <c r="B39" s="55">
        <v>127</v>
      </c>
      <c r="C39" s="55">
        <v>30</v>
      </c>
      <c r="D39" s="26">
        <f t="shared" si="16"/>
        <v>-97</v>
      </c>
      <c r="E39" s="27">
        <f t="shared" si="17"/>
        <v>-0.76377952755905509</v>
      </c>
      <c r="F39" s="55">
        <v>136</v>
      </c>
      <c r="G39" s="55">
        <v>21</v>
      </c>
      <c r="H39" s="26">
        <f t="shared" si="18"/>
        <v>-115</v>
      </c>
      <c r="I39" s="27">
        <f t="shared" si="19"/>
        <v>-0.84558823529411764</v>
      </c>
      <c r="J39" s="55">
        <v>145</v>
      </c>
      <c r="K39" s="55">
        <v>32</v>
      </c>
      <c r="L39" s="26">
        <f t="shared" si="20"/>
        <v>-113</v>
      </c>
      <c r="M39" s="27">
        <f t="shared" si="21"/>
        <v>-0.77931034482758621</v>
      </c>
      <c r="N39" s="56">
        <v>147</v>
      </c>
      <c r="O39" s="56">
        <v>38</v>
      </c>
      <c r="P39" s="26">
        <f t="shared" si="22"/>
        <v>-109</v>
      </c>
      <c r="Q39" s="28">
        <f t="shared" si="23"/>
        <v>-0.74149659863945583</v>
      </c>
      <c r="R39" s="2"/>
    </row>
    <row r="40" spans="1:18" x14ac:dyDescent="0.2">
      <c r="A40" s="17"/>
      <c r="B40" s="26"/>
      <c r="C40" s="26"/>
      <c r="D40" s="26" t="s">
        <v>8</v>
      </c>
      <c r="E40" s="27" t="s">
        <v>8</v>
      </c>
      <c r="F40" s="26"/>
      <c r="G40" s="26"/>
      <c r="H40" s="26" t="s">
        <v>8</v>
      </c>
      <c r="I40" s="27" t="s">
        <v>8</v>
      </c>
      <c r="J40" s="16"/>
      <c r="K40" s="16"/>
      <c r="L40" s="26" t="s">
        <v>23</v>
      </c>
      <c r="M40" s="27" t="s">
        <v>8</v>
      </c>
      <c r="N40" s="26"/>
      <c r="O40" s="26"/>
      <c r="P40" s="26" t="s">
        <v>8</v>
      </c>
      <c r="Q40" s="28" t="s">
        <v>8</v>
      </c>
      <c r="R40" s="2"/>
    </row>
    <row r="41" spans="1:18" x14ac:dyDescent="0.2">
      <c r="A41" s="17" t="s">
        <v>14</v>
      </c>
      <c r="B41" s="26">
        <f>SUM(B33:B40)</f>
        <v>17797</v>
      </c>
      <c r="C41" s="26">
        <f>SUM(C33:C40)</f>
        <v>6506</v>
      </c>
      <c r="D41" s="26">
        <f>C41-B41</f>
        <v>-11291</v>
      </c>
      <c r="E41" s="27">
        <f>D41/B41</f>
        <v>-0.63443276956790473</v>
      </c>
      <c r="F41" s="26">
        <f>SUM(F33:F39)</f>
        <v>18071</v>
      </c>
      <c r="G41" s="26">
        <f>SUM(G33:G39)</f>
        <v>6112</v>
      </c>
      <c r="H41" s="26">
        <f>G41-F41</f>
        <v>-11959</v>
      </c>
      <c r="I41" s="27">
        <f>H41/F41</f>
        <v>-0.66177854020253446</v>
      </c>
      <c r="J41" s="26">
        <f>SUM(J33:J40)</f>
        <v>18697</v>
      </c>
      <c r="K41" s="26">
        <f>SUM(K33:K40)</f>
        <v>7696</v>
      </c>
      <c r="L41" s="26">
        <f>K41-J41</f>
        <v>-11001</v>
      </c>
      <c r="M41" s="27">
        <f>L41/J41</f>
        <v>-0.58838316307428995</v>
      </c>
      <c r="N41" s="26">
        <f>SUM(N33:N40)</f>
        <v>18813</v>
      </c>
      <c r="O41" s="26">
        <f>SUM(O33:O40)</f>
        <v>8087</v>
      </c>
      <c r="P41" s="26">
        <f>O41-N41</f>
        <v>-10726</v>
      </c>
      <c r="Q41" s="28">
        <f>P41/N41</f>
        <v>-0.57013767075958111</v>
      </c>
      <c r="R41" s="2"/>
    </row>
    <row r="42" spans="1:18" x14ac:dyDescent="0.2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9"/>
      <c r="R42" s="2"/>
    </row>
    <row r="43" spans="1:18" ht="3.75" customHeight="1" x14ac:dyDescent="0.2">
      <c r="A43" s="17"/>
      <c r="B43" s="22"/>
      <c r="C43" s="22"/>
      <c r="D43" s="27"/>
      <c r="E43" s="27"/>
      <c r="F43" s="22"/>
      <c r="G43" s="22"/>
      <c r="H43" s="27"/>
      <c r="I43" s="27"/>
      <c r="J43" s="22"/>
      <c r="K43" s="22"/>
      <c r="L43" s="27"/>
      <c r="M43" s="27"/>
      <c r="N43" s="22"/>
      <c r="O43" s="22"/>
      <c r="P43" s="27"/>
      <c r="Q43" s="28"/>
      <c r="R43" s="2"/>
    </row>
    <row r="44" spans="1:18" ht="3.75" customHeight="1" x14ac:dyDescent="0.2">
      <c r="A44" s="25"/>
      <c r="B44" s="16"/>
      <c r="C44" s="16"/>
      <c r="D44" s="16"/>
      <c r="E44" s="16"/>
      <c r="F44" s="24"/>
      <c r="G44" s="24"/>
      <c r="H44" s="16"/>
      <c r="I44" s="16"/>
      <c r="J44" s="16"/>
      <c r="K44" s="16"/>
      <c r="L44" s="16"/>
      <c r="M44" s="16"/>
      <c r="N44" s="24"/>
      <c r="O44" s="24"/>
      <c r="P44" s="16"/>
      <c r="Q44" s="19"/>
      <c r="R44" s="2"/>
    </row>
    <row r="45" spans="1:18" x14ac:dyDescent="0.2">
      <c r="A45" s="32"/>
      <c r="B45" s="59" t="s">
        <v>51</v>
      </c>
      <c r="C45" s="59"/>
      <c r="D45" s="59"/>
      <c r="E45" s="5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</row>
    <row r="46" spans="1:18" x14ac:dyDescent="0.2">
      <c r="A46" s="17" t="s">
        <v>52</v>
      </c>
      <c r="B46" s="57">
        <f t="shared" ref="B46:C52" si="24">(B7+F7+J7+N7+B20+F20+J20+N20+B33+F33+J33+N33)/12</f>
        <v>1045.6666666666667</v>
      </c>
      <c r="C46" s="57">
        <f t="shared" si="24"/>
        <v>751.41666666666663</v>
      </c>
      <c r="D46" s="26">
        <f t="shared" ref="D46:D52" si="25">C46-B46</f>
        <v>-294.25000000000011</v>
      </c>
      <c r="E46" s="27">
        <f t="shared" ref="E46:E52" si="26">D46/B46</f>
        <v>-0.2813994262033791</v>
      </c>
      <c r="F46" s="16"/>
      <c r="G46" s="16"/>
      <c r="H46" s="29"/>
      <c r="I46" s="26"/>
      <c r="J46" s="29"/>
      <c r="K46" s="29"/>
      <c r="L46" s="29"/>
      <c r="M46" s="29"/>
      <c r="N46" s="29"/>
      <c r="O46" s="29"/>
      <c r="P46" s="29"/>
      <c r="Q46" s="30"/>
    </row>
    <row r="47" spans="1:18" x14ac:dyDescent="0.2">
      <c r="A47" s="17" t="s">
        <v>9</v>
      </c>
      <c r="B47" s="57">
        <f t="shared" si="24"/>
        <v>2355.5</v>
      </c>
      <c r="C47" s="57">
        <f t="shared" si="24"/>
        <v>1722</v>
      </c>
      <c r="D47" s="26">
        <f t="shared" si="25"/>
        <v>-633.5</v>
      </c>
      <c r="E47" s="27">
        <f t="shared" si="26"/>
        <v>-0.2689450222882615</v>
      </c>
      <c r="F47" s="16"/>
      <c r="G47" s="16"/>
      <c r="H47" s="29"/>
      <c r="I47" s="29"/>
      <c r="J47" s="29"/>
      <c r="K47" s="29"/>
      <c r="L47" s="29"/>
      <c r="M47" s="29"/>
      <c r="N47" s="29"/>
      <c r="O47" s="29"/>
      <c r="P47" s="29"/>
      <c r="Q47" s="30"/>
    </row>
    <row r="48" spans="1:18" x14ac:dyDescent="0.2">
      <c r="A48" s="20" t="s">
        <v>10</v>
      </c>
      <c r="B48" s="57">
        <f t="shared" si="24"/>
        <v>4918.583333333333</v>
      </c>
      <c r="C48" s="57">
        <f t="shared" si="24"/>
        <v>3843.0833333333335</v>
      </c>
      <c r="D48" s="26">
        <f t="shared" si="25"/>
        <v>-1075.4999999999995</v>
      </c>
      <c r="E48" s="27">
        <f t="shared" si="26"/>
        <v>-0.21866052216932375</v>
      </c>
      <c r="F48" s="16"/>
      <c r="G48" s="16"/>
      <c r="H48" s="29"/>
      <c r="I48" s="29"/>
      <c r="J48" s="29"/>
      <c r="K48" s="29"/>
      <c r="L48" s="29"/>
      <c r="M48" s="29"/>
      <c r="N48" s="29"/>
      <c r="O48" s="29"/>
      <c r="P48" s="29"/>
      <c r="Q48" s="30"/>
    </row>
    <row r="49" spans="1:17" x14ac:dyDescent="0.2">
      <c r="A49" s="20" t="s">
        <v>11</v>
      </c>
      <c r="B49" s="57">
        <f t="shared" si="24"/>
        <v>3927.75</v>
      </c>
      <c r="C49" s="57">
        <f t="shared" si="24"/>
        <v>2859.9166666666665</v>
      </c>
      <c r="D49" s="26">
        <f t="shared" si="25"/>
        <v>-1067.8333333333335</v>
      </c>
      <c r="E49" s="27">
        <f t="shared" si="26"/>
        <v>-0.27186896654148901</v>
      </c>
      <c r="F49" s="16"/>
      <c r="G49" s="16"/>
      <c r="H49" s="29"/>
      <c r="I49" s="29"/>
      <c r="J49" s="29"/>
      <c r="K49" s="29"/>
      <c r="L49" s="29"/>
      <c r="M49" s="29"/>
      <c r="N49" s="29"/>
      <c r="O49" s="29"/>
      <c r="P49" s="29"/>
      <c r="Q49" s="30"/>
    </row>
    <row r="50" spans="1:17" x14ac:dyDescent="0.2">
      <c r="A50" s="20" t="s">
        <v>53</v>
      </c>
      <c r="B50" s="57">
        <f t="shared" si="24"/>
        <v>3539.5</v>
      </c>
      <c r="C50" s="57">
        <f t="shared" si="24"/>
        <v>2627</v>
      </c>
      <c r="D50" s="26">
        <f t="shared" si="25"/>
        <v>-912.5</v>
      </c>
      <c r="E50" s="27">
        <f t="shared" si="26"/>
        <v>-0.25780477468569007</v>
      </c>
      <c r="F50" s="16"/>
      <c r="G50" s="16"/>
      <c r="H50" s="29"/>
      <c r="I50" s="29"/>
      <c r="J50" s="29"/>
      <c r="K50" s="29"/>
      <c r="L50" s="29"/>
      <c r="M50" s="29"/>
      <c r="N50" s="29"/>
      <c r="O50" s="29"/>
      <c r="P50" s="29"/>
      <c r="Q50" s="30"/>
    </row>
    <row r="51" spans="1:17" x14ac:dyDescent="0.2">
      <c r="A51" s="20" t="s">
        <v>12</v>
      </c>
      <c r="B51" s="57">
        <f t="shared" si="24"/>
        <v>1355.4166666666667</v>
      </c>
      <c r="C51" s="57">
        <f t="shared" si="24"/>
        <v>1132.3333333333333</v>
      </c>
      <c r="D51" s="26">
        <f t="shared" si="25"/>
        <v>-223.08333333333348</v>
      </c>
      <c r="E51" s="27">
        <f t="shared" si="26"/>
        <v>-0.16458653550568716</v>
      </c>
      <c r="F51" s="16"/>
      <c r="G51" s="16"/>
      <c r="H51" s="29"/>
      <c r="I51" s="29"/>
      <c r="J51" s="29"/>
      <c r="K51" s="29"/>
      <c r="L51" s="29"/>
      <c r="M51" s="29"/>
      <c r="N51" s="29"/>
      <c r="O51" s="29"/>
      <c r="P51" s="29"/>
      <c r="Q51" s="30"/>
    </row>
    <row r="52" spans="1:17" x14ac:dyDescent="0.2">
      <c r="A52" s="20" t="s">
        <v>13</v>
      </c>
      <c r="B52" s="57">
        <f t="shared" si="24"/>
        <v>111.41666666666667</v>
      </c>
      <c r="C52" s="57">
        <f t="shared" si="24"/>
        <v>114.58333333333333</v>
      </c>
      <c r="D52" s="26">
        <f t="shared" si="25"/>
        <v>3.1666666666666572</v>
      </c>
      <c r="E52" s="27">
        <f t="shared" si="26"/>
        <v>2.8421839940164461E-2</v>
      </c>
      <c r="F52" s="16"/>
      <c r="G52" s="16"/>
      <c r="H52" s="29"/>
      <c r="I52" s="29"/>
      <c r="J52" s="29"/>
      <c r="K52" s="29"/>
      <c r="L52" s="29"/>
      <c r="M52" s="29"/>
      <c r="N52" s="29"/>
      <c r="O52" s="29"/>
      <c r="P52" s="29"/>
      <c r="Q52" s="30"/>
    </row>
    <row r="53" spans="1:17" x14ac:dyDescent="0.2">
      <c r="A53" s="17"/>
      <c r="B53" s="26"/>
      <c r="C53" s="26"/>
      <c r="D53" s="26"/>
      <c r="E53" s="27" t="s">
        <v>8</v>
      </c>
      <c r="F53" s="16"/>
      <c r="G53" s="16"/>
      <c r="H53" s="29"/>
      <c r="I53" s="29"/>
      <c r="J53" s="29"/>
      <c r="K53" s="29"/>
      <c r="L53" s="29"/>
      <c r="M53" s="29"/>
      <c r="N53" s="29"/>
      <c r="O53" s="29"/>
      <c r="P53" s="29"/>
      <c r="Q53" s="30"/>
    </row>
    <row r="54" spans="1:17" x14ac:dyDescent="0.2">
      <c r="A54" s="17" t="s">
        <v>14</v>
      </c>
      <c r="B54" s="26">
        <f>(B15+F15+J15+N15+B28+F28+J28+N28+B41+F41+J41+N41)/12</f>
        <v>17253.833333333332</v>
      </c>
      <c r="C54" s="26">
        <f>(C15+G15+K15+O15+C28+G28+K28+O28+C41+G41+K41+O41)/12</f>
        <v>13050.333333333334</v>
      </c>
      <c r="D54" s="26">
        <f>C54-B54</f>
        <v>-4203.4999999999982</v>
      </c>
      <c r="E54" s="27">
        <f>D54/B54</f>
        <v>-0.24362702008249365</v>
      </c>
      <c r="F54" s="16"/>
      <c r="G54" s="16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7" ht="12" thickBot="1" x14ac:dyDescent="0.25">
      <c r="A55" s="9"/>
      <c r="B55" s="49"/>
      <c r="C55" s="49"/>
      <c r="D55" s="49"/>
      <c r="E55" s="10"/>
      <c r="F55" s="10"/>
      <c r="G55" s="10"/>
      <c r="H55" s="33"/>
      <c r="I55" s="33"/>
      <c r="J55" s="33"/>
      <c r="K55" s="33"/>
      <c r="L55" s="33"/>
      <c r="M55" s="33"/>
      <c r="N55" s="33"/>
      <c r="O55" s="33"/>
      <c r="P55" s="33"/>
      <c r="Q55" s="34"/>
    </row>
    <row r="56" spans="1:17" ht="12.75" customHeight="1" x14ac:dyDescent="0.2">
      <c r="A56" s="2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12.75" customHeight="1" x14ac:dyDescent="0.2">
      <c r="A57" s="37"/>
      <c r="B57" s="37"/>
      <c r="C57" s="51"/>
      <c r="D57" s="37"/>
      <c r="E57" s="37"/>
      <c r="F57" s="37"/>
      <c r="G57" s="37"/>
      <c r="H57" s="37"/>
      <c r="I57" s="37"/>
      <c r="J57" s="2"/>
    </row>
    <row r="58" spans="1:17" ht="12.75" customHeight="1" x14ac:dyDescent="0.2">
      <c r="A58" s="3"/>
      <c r="B58" s="50"/>
      <c r="C58" s="50"/>
      <c r="D58" s="38"/>
      <c r="E58" s="38"/>
      <c r="F58" s="38"/>
      <c r="G58" s="38"/>
      <c r="H58" s="38"/>
      <c r="I58" s="38"/>
      <c r="J58" s="29"/>
      <c r="K58" s="29"/>
      <c r="L58" s="29"/>
      <c r="M58" s="29"/>
      <c r="N58" s="29"/>
      <c r="O58" s="29"/>
      <c r="P58" s="29"/>
      <c r="Q58" s="29"/>
    </row>
    <row r="59" spans="1:17" ht="12.75" customHeight="1" x14ac:dyDescent="0.2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ht="12.75" customHeight="1" x14ac:dyDescent="0.2">
      <c r="B60" s="37"/>
      <c r="C60" s="51"/>
      <c r="D60" s="37"/>
      <c r="E60" s="37"/>
      <c r="F60" s="37"/>
      <c r="G60" s="37"/>
      <c r="H60" s="37"/>
      <c r="I60" s="37"/>
    </row>
    <row r="61" spans="1:17" x14ac:dyDescent="0.2">
      <c r="B61" s="2"/>
      <c r="C61" s="52"/>
    </row>
  </sheetData>
  <mergeCells count="3">
    <mergeCell ref="B56:Q56"/>
    <mergeCell ref="B59:Q59"/>
    <mergeCell ref="B45:E45"/>
  </mergeCells>
  <phoneticPr fontId="0" type="noConversion"/>
  <pageMargins left="0.21" right="0.35433070866141736" top="0.4" bottom="0.59055118110236227" header="0.4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20" sqref="I20"/>
    </sheetView>
  </sheetViews>
  <sheetFormatPr defaultRowHeight="12.75" x14ac:dyDescent="0.2"/>
  <sheetData>
    <row r="1" spans="1:6" x14ac:dyDescent="0.2">
      <c r="A1" s="39" t="s">
        <v>40</v>
      </c>
      <c r="B1" s="40"/>
      <c r="C1" s="39">
        <v>2002</v>
      </c>
      <c r="D1" s="39">
        <v>2003</v>
      </c>
      <c r="E1" s="39">
        <v>2004</v>
      </c>
      <c r="F1" s="44">
        <v>2005</v>
      </c>
    </row>
    <row r="2" spans="1:6" x14ac:dyDescent="0.2">
      <c r="B2" s="40" t="s">
        <v>24</v>
      </c>
      <c r="C2" s="40">
        <v>13360</v>
      </c>
      <c r="D2" s="40">
        <v>13779</v>
      </c>
      <c r="E2" s="40">
        <v>16111</v>
      </c>
      <c r="F2" s="40">
        <v>18377</v>
      </c>
    </row>
    <row r="3" spans="1:6" x14ac:dyDescent="0.2">
      <c r="B3" s="40" t="s">
        <v>25</v>
      </c>
      <c r="C3" s="40">
        <v>13067</v>
      </c>
      <c r="D3" s="40">
        <v>13516</v>
      </c>
      <c r="E3" s="40">
        <v>16001</v>
      </c>
      <c r="F3" s="40">
        <v>18401</v>
      </c>
    </row>
    <row r="4" spans="1:6" x14ac:dyDescent="0.2">
      <c r="B4" s="40" t="s">
        <v>26</v>
      </c>
      <c r="C4" s="40">
        <v>11046</v>
      </c>
      <c r="D4" s="40">
        <v>12650</v>
      </c>
      <c r="E4" s="40">
        <v>13796</v>
      </c>
      <c r="F4" s="40">
        <v>12510</v>
      </c>
    </row>
    <row r="5" spans="1:6" x14ac:dyDescent="0.2">
      <c r="B5" s="40" t="s">
        <v>27</v>
      </c>
      <c r="C5" s="40">
        <v>9483</v>
      </c>
      <c r="D5" s="40">
        <v>11532</v>
      </c>
      <c r="E5" s="40">
        <v>10193</v>
      </c>
      <c r="F5" s="40">
        <v>11134</v>
      </c>
    </row>
    <row r="6" spans="1:6" x14ac:dyDescent="0.2">
      <c r="B6" s="40" t="s">
        <v>28</v>
      </c>
      <c r="C6" s="40">
        <v>8405</v>
      </c>
      <c r="D6" s="40">
        <v>9969</v>
      </c>
      <c r="E6" s="40">
        <v>9632</v>
      </c>
      <c r="F6" s="40">
        <v>10941</v>
      </c>
    </row>
    <row r="7" spans="1:6" x14ac:dyDescent="0.2">
      <c r="B7" s="40" t="s">
        <v>29</v>
      </c>
      <c r="C7" s="40">
        <v>9166</v>
      </c>
      <c r="D7" s="40">
        <v>10897</v>
      </c>
      <c r="E7" s="40">
        <v>10909</v>
      </c>
      <c r="F7" s="46">
        <v>12197</v>
      </c>
    </row>
    <row r="8" spans="1:6" x14ac:dyDescent="0.2">
      <c r="B8" s="40" t="s">
        <v>30</v>
      </c>
      <c r="C8" s="40">
        <v>10023</v>
      </c>
      <c r="D8" s="40">
        <v>12093</v>
      </c>
      <c r="E8" s="40">
        <v>11690</v>
      </c>
      <c r="F8" s="47">
        <v>12205</v>
      </c>
    </row>
    <row r="9" spans="1:6" x14ac:dyDescent="0.2">
      <c r="B9" s="40" t="s">
        <v>31</v>
      </c>
      <c r="C9" s="40">
        <v>9869</v>
      </c>
      <c r="D9" s="40">
        <v>11290</v>
      </c>
      <c r="E9" s="40">
        <v>11318</v>
      </c>
      <c r="F9" s="46">
        <v>12622</v>
      </c>
    </row>
    <row r="10" spans="1:6" x14ac:dyDescent="0.2">
      <c r="B10" s="40" t="s">
        <v>32</v>
      </c>
      <c r="C10" s="40">
        <v>9326</v>
      </c>
      <c r="D10" s="40">
        <v>10506</v>
      </c>
      <c r="E10" s="40">
        <v>10847</v>
      </c>
      <c r="F10" s="46">
        <v>11549</v>
      </c>
    </row>
    <row r="11" spans="1:6" x14ac:dyDescent="0.2">
      <c r="B11" s="40" t="s">
        <v>33</v>
      </c>
      <c r="C11" s="40">
        <v>9197</v>
      </c>
      <c r="D11" s="40">
        <v>10134</v>
      </c>
      <c r="E11" s="40">
        <v>10163</v>
      </c>
      <c r="F11" s="46">
        <v>10695</v>
      </c>
    </row>
    <row r="12" spans="1:6" x14ac:dyDescent="0.2">
      <c r="B12" s="40" t="s">
        <v>34</v>
      </c>
      <c r="C12" s="40">
        <v>11451</v>
      </c>
      <c r="D12" s="40">
        <v>12477</v>
      </c>
      <c r="E12" s="40">
        <v>14544</v>
      </c>
      <c r="F12" s="48">
        <f>SUM(F2:F11)</f>
        <v>130631</v>
      </c>
    </row>
    <row r="13" spans="1:6" x14ac:dyDescent="0.2">
      <c r="B13" s="40" t="s">
        <v>35</v>
      </c>
      <c r="C13" s="40">
        <v>12344</v>
      </c>
      <c r="D13" s="40">
        <v>14691</v>
      </c>
      <c r="E13" s="40">
        <v>16600</v>
      </c>
      <c r="F13" s="40"/>
    </row>
    <row r="14" spans="1:6" x14ac:dyDescent="0.2">
      <c r="B14" s="40"/>
      <c r="C14" s="40"/>
      <c r="D14" s="40"/>
      <c r="E14" s="40"/>
      <c r="F14" s="40"/>
    </row>
    <row r="15" spans="1:6" x14ac:dyDescent="0.2">
      <c r="B15" s="40"/>
      <c r="C15" s="40"/>
      <c r="D15" s="40"/>
      <c r="E15" s="40"/>
      <c r="F15" s="40"/>
    </row>
    <row r="16" spans="1:6" x14ac:dyDescent="0.2">
      <c r="B16" s="39" t="s">
        <v>41</v>
      </c>
      <c r="C16" s="41">
        <f>C2</f>
        <v>13360</v>
      </c>
      <c r="D16" s="41">
        <f>D2</f>
        <v>13779</v>
      </c>
      <c r="E16" s="41">
        <f>E2</f>
        <v>16111</v>
      </c>
      <c r="F16" s="41">
        <f>F2</f>
        <v>18377</v>
      </c>
    </row>
    <row r="17" spans="2:6" x14ac:dyDescent="0.2">
      <c r="B17" s="39" t="s">
        <v>42</v>
      </c>
      <c r="C17" s="41">
        <f>SUM(C2:C3)/2</f>
        <v>13213.5</v>
      </c>
      <c r="D17" s="41">
        <f>SUM(D2:D3)/2</f>
        <v>13647.5</v>
      </c>
      <c r="E17" s="41">
        <f>SUM(E$2:E3)/2</f>
        <v>16056</v>
      </c>
      <c r="F17" s="41">
        <f>SUM(F$2:F3)/2</f>
        <v>18389</v>
      </c>
    </row>
    <row r="18" spans="2:6" x14ac:dyDescent="0.2">
      <c r="B18" s="39" t="s">
        <v>43</v>
      </c>
      <c r="C18" s="41">
        <f>SUM(C2:C4)/3</f>
        <v>12491</v>
      </c>
      <c r="D18" s="41">
        <f>SUM(D2:D4)/3</f>
        <v>13315</v>
      </c>
      <c r="E18" s="41">
        <f>SUM(E$2:E4)/3</f>
        <v>15302.666666666666</v>
      </c>
      <c r="F18" s="41">
        <f>SUM(F$2:F4)/3</f>
        <v>16429.333333333332</v>
      </c>
    </row>
    <row r="19" spans="2:6" x14ac:dyDescent="0.2">
      <c r="B19" s="39" t="s">
        <v>44</v>
      </c>
      <c r="C19" s="41">
        <f>SUM(C2:C5)/4</f>
        <v>11739</v>
      </c>
      <c r="D19" s="41">
        <f>SUM(D2:D5)/4</f>
        <v>12869.25</v>
      </c>
      <c r="E19" s="41">
        <f>SUM(E$2:E5)/4</f>
        <v>14025.25</v>
      </c>
      <c r="F19" s="41">
        <f>SUM(F$2:F5)/4</f>
        <v>15105.5</v>
      </c>
    </row>
    <row r="20" spans="2:6" x14ac:dyDescent="0.2">
      <c r="B20" s="39" t="s">
        <v>45</v>
      </c>
      <c r="C20" s="41">
        <f>SUM(C2:C6)/5</f>
        <v>11072.2</v>
      </c>
      <c r="D20" s="41">
        <f>SUM(D2:D6)/5</f>
        <v>12289.2</v>
      </c>
      <c r="E20" s="41">
        <f>SUM(E$2:E6)/5</f>
        <v>13146.6</v>
      </c>
      <c r="F20" s="41">
        <f>SUM(F$2:F6)/5</f>
        <v>14272.6</v>
      </c>
    </row>
    <row r="21" spans="2:6" x14ac:dyDescent="0.2">
      <c r="B21" s="39" t="s">
        <v>46</v>
      </c>
      <c r="C21" s="41">
        <f>SUM(C2:C7)/6</f>
        <v>10754.5</v>
      </c>
      <c r="D21" s="41">
        <f>SUM(D2:D7)/6</f>
        <v>12057.166666666666</v>
      </c>
      <c r="E21" s="41">
        <f>SUM(E$2:E7)/6</f>
        <v>12773.666666666666</v>
      </c>
      <c r="F21" s="41">
        <f>SUM(F$2:F7)/6</f>
        <v>13926.666666666666</v>
      </c>
    </row>
    <row r="22" spans="2:6" x14ac:dyDescent="0.2">
      <c r="B22" s="39" t="s">
        <v>36</v>
      </c>
      <c r="C22" s="42">
        <v>10650</v>
      </c>
      <c r="D22" s="41">
        <f>SUM(D2:D8)/7</f>
        <v>12062.285714285714</v>
      </c>
      <c r="E22" s="41">
        <f>SUM(E$2:E8)/7</f>
        <v>12618.857142857143</v>
      </c>
      <c r="F22" s="41">
        <f>SUM(F$2:F8)/7</f>
        <v>13680.714285714286</v>
      </c>
    </row>
    <row r="23" spans="2:6" x14ac:dyDescent="0.2">
      <c r="B23" s="39" t="s">
        <v>37</v>
      </c>
      <c r="C23" s="42">
        <f>SUM(C2:C9)/8</f>
        <v>10552.375</v>
      </c>
      <c r="D23" s="42">
        <f>SUM(D2:D9)/8</f>
        <v>11965.75</v>
      </c>
      <c r="E23" s="41">
        <f>SUM(E$2:E9)/8</f>
        <v>12456.25</v>
      </c>
      <c r="F23" s="41">
        <f>SUM(F$2:F9)/8</f>
        <v>13548.375</v>
      </c>
    </row>
    <row r="24" spans="2:6" x14ac:dyDescent="0.2">
      <c r="B24" s="39" t="s">
        <v>38</v>
      </c>
      <c r="C24" s="42">
        <f>SUM(C2:C10)/9</f>
        <v>10416.111111111111</v>
      </c>
      <c r="D24" s="42">
        <f>SUM(D2:D10)/9</f>
        <v>11803.555555555555</v>
      </c>
      <c r="E24" s="41">
        <f>SUM(E$2:E10)/9</f>
        <v>12277.444444444445</v>
      </c>
      <c r="F24" s="41">
        <f>SUM(F$2:F10)/9</f>
        <v>13326.222222222223</v>
      </c>
    </row>
    <row r="25" spans="2:6" x14ac:dyDescent="0.2">
      <c r="B25" s="39" t="s">
        <v>39</v>
      </c>
      <c r="C25" s="42">
        <f>SUM(C2:C11)/10</f>
        <v>10294.200000000001</v>
      </c>
      <c r="D25" s="42">
        <f>SUM(D2:D11)/10</f>
        <v>11636.6</v>
      </c>
      <c r="E25" s="41">
        <f>SUM(E$2:E11)/10</f>
        <v>12066</v>
      </c>
      <c r="F25" s="41">
        <f>SUM(F$2:F11)/10</f>
        <v>13063.1</v>
      </c>
    </row>
    <row r="26" spans="2:6" x14ac:dyDescent="0.2">
      <c r="B26" s="39" t="s">
        <v>47</v>
      </c>
      <c r="C26" s="42">
        <f>SUM(C2:C12)/11</f>
        <v>10399.363636363636</v>
      </c>
      <c r="D26" s="42">
        <f>SUM(D2:D12)/11</f>
        <v>11713</v>
      </c>
      <c r="E26" s="41">
        <f>SUM(E$2:E12)/11</f>
        <v>12291.272727272728</v>
      </c>
      <c r="F26" s="41">
        <v>13086.636363636364</v>
      </c>
    </row>
    <row r="27" spans="2:6" x14ac:dyDescent="0.2">
      <c r="B27" s="39" t="s">
        <v>48</v>
      </c>
      <c r="C27" s="42">
        <f>SUM(C2:C13)/12</f>
        <v>10561.416666666666</v>
      </c>
      <c r="D27" s="42">
        <f>SUM(D2:D13)/12</f>
        <v>11961.166666666666</v>
      </c>
      <c r="E27" s="41">
        <f>SUM(E$2:E13)/12</f>
        <v>12650.333333333334</v>
      </c>
      <c r="F27" s="41">
        <f>SUM(F$2:F13)/12</f>
        <v>21771.833333333332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2022-01-20T08:20:22Z</cp:lastPrinted>
  <dcterms:created xsi:type="dcterms:W3CDTF">2003-03-03T10:28:55Z</dcterms:created>
  <dcterms:modified xsi:type="dcterms:W3CDTF">2022-01-20T08:23:07Z</dcterms:modified>
</cp:coreProperties>
</file>